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-hst\Mon Drive (ferzizi@gmail.com)\التدريس\محاسبة التسيير الاستراتيجية\محاسبة التسيير الاستراتيجية 2022 2023\الأعمال الموجهة\"/>
    </mc:Choice>
  </mc:AlternateContent>
  <xr:revisionPtr revIDLastSave="0" documentId="13_ncr:1_{8FA881A0-B046-49E7-B7A2-649CBD21C0C8}" xr6:coauthVersionLast="47" xr6:coauthVersionMax="47" xr10:uidLastSave="{00000000-0000-0000-0000-000000000000}"/>
  <bookViews>
    <workbookView xWindow="-120" yWindow="-120" windowWidth="20730" windowHeight="11160" xr2:uid="{575395B4-8303-45FA-9747-E5B48046D6A7}"/>
  </bookViews>
  <sheets>
    <sheet name="حل الحالة 03" sheetId="1" r:id="rId1"/>
    <sheet name="نسبة النمو المعدل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" l="1"/>
  <c r="F5" i="2"/>
  <c r="F4" i="2"/>
  <c r="F3" i="2"/>
  <c r="F2" i="2"/>
  <c r="E6" i="2"/>
  <c r="E5" i="2"/>
  <c r="E4" i="2"/>
  <c r="E3" i="2"/>
  <c r="E2" i="2"/>
  <c r="D6" i="2"/>
  <c r="D5" i="2"/>
  <c r="D4" i="2"/>
  <c r="D3" i="2"/>
  <c r="D2" i="2"/>
  <c r="C6" i="2"/>
  <c r="B6" i="2"/>
  <c r="AF13" i="1"/>
  <c r="AF16" i="1" s="1"/>
  <c r="AC13" i="1"/>
  <c r="AC16" i="1" s="1"/>
  <c r="AF12" i="1"/>
  <c r="AE12" i="1" s="1"/>
  <c r="AC12" i="1"/>
  <c r="AB12" i="1"/>
  <c r="AF11" i="1"/>
  <c r="AF10" i="1"/>
  <c r="AF9" i="1"/>
  <c r="AF8" i="1"/>
  <c r="AF7" i="1"/>
  <c r="AF6" i="1" s="1"/>
  <c r="AE6" i="1" s="1"/>
  <c r="AC11" i="1"/>
  <c r="AC10" i="1"/>
  <c r="AC9" i="1"/>
  <c r="AC8" i="1"/>
  <c r="AC6" i="1" s="1"/>
  <c r="AB6" i="1" s="1"/>
  <c r="AC7" i="1"/>
  <c r="AB3" i="1"/>
  <c r="AE3" i="1"/>
  <c r="AD3" i="1"/>
  <c r="AF5" i="1"/>
  <c r="AF4" i="1"/>
  <c r="AF3" i="1"/>
  <c r="AC5" i="1"/>
  <c r="AC4" i="1"/>
  <c r="V4" i="1"/>
  <c r="U16" i="1"/>
  <c r="X13" i="1"/>
  <c r="U13" i="1"/>
  <c r="T12" i="1"/>
  <c r="U12" i="1"/>
  <c r="X6" i="1"/>
  <c r="W6" i="1" s="1"/>
  <c r="T6" i="1"/>
  <c r="U6" i="1"/>
  <c r="X11" i="1"/>
  <c r="X10" i="1"/>
  <c r="V9" i="1"/>
  <c r="X9" i="1" s="1"/>
  <c r="X8" i="1"/>
  <c r="X7" i="1"/>
  <c r="U11" i="1"/>
  <c r="U10" i="1"/>
  <c r="U9" i="1"/>
  <c r="U8" i="1"/>
  <c r="U7" i="1"/>
  <c r="S9" i="1"/>
  <c r="X5" i="1"/>
  <c r="X4" i="1"/>
  <c r="X3" i="1" s="1"/>
  <c r="V3" i="1"/>
  <c r="T3" i="1"/>
  <c r="U3" i="1"/>
  <c r="U5" i="1"/>
  <c r="U4" i="1"/>
  <c r="S3" i="1"/>
  <c r="O3" i="1"/>
  <c r="L3" i="1"/>
  <c r="P12" i="1"/>
  <c r="P15" i="1" s="1"/>
  <c r="M15" i="1"/>
  <c r="M12" i="1"/>
  <c r="P11" i="1"/>
  <c r="O11" i="1" s="1"/>
  <c r="L11" i="1"/>
  <c r="M11" i="1"/>
  <c r="L6" i="1"/>
  <c r="M6" i="1"/>
  <c r="P10" i="1"/>
  <c r="P6" i="1" s="1"/>
  <c r="O6" i="1" s="1"/>
  <c r="P8" i="1"/>
  <c r="N7" i="1"/>
  <c r="P7" i="1" s="1"/>
  <c r="M10" i="1"/>
  <c r="M9" i="1"/>
  <c r="M8" i="1"/>
  <c r="M7" i="1"/>
  <c r="P5" i="1"/>
  <c r="P4" i="1"/>
  <c r="P3" i="1" s="1"/>
  <c r="M3" i="1"/>
  <c r="M5" i="1"/>
  <c r="M4" i="1"/>
  <c r="AD9" i="1"/>
  <c r="AD7" i="1"/>
  <c r="AD10" i="1" s="1"/>
  <c r="W3" i="1" l="1"/>
  <c r="X12" i="1"/>
  <c r="N9" i="1"/>
  <c r="P9" i="1" s="1"/>
  <c r="W12" i="1" l="1"/>
  <c r="X16" i="1"/>
  <c r="F6" i="1" l="1"/>
  <c r="AE23" i="1"/>
  <c r="AE22" i="1"/>
  <c r="P23" i="1"/>
  <c r="AA9" i="1"/>
  <c r="AA6" i="1"/>
  <c r="AA7" i="1" s="1"/>
  <c r="AA5" i="1"/>
  <c r="AC3" i="1" s="1"/>
  <c r="K7" i="1"/>
  <c r="H3" i="1"/>
  <c r="H10" i="1"/>
  <c r="H8" i="1"/>
  <c r="H7" i="1"/>
  <c r="H6" i="1"/>
  <c r="H5" i="1"/>
  <c r="H4" i="1" l="1"/>
  <c r="G4" i="1" s="1"/>
  <c r="G9" i="1" s="1"/>
  <c r="H9" i="1" s="1"/>
  <c r="AE24" i="1"/>
  <c r="H13" i="1"/>
  <c r="AA10" i="1"/>
  <c r="K9" i="1"/>
</calcChain>
</file>

<file path=xl/sharedStrings.xml><?xml version="1.0" encoding="utf-8"?>
<sst xmlns="http://schemas.openxmlformats.org/spreadsheetml/2006/main" count="122" uniqueCount="61">
  <si>
    <t>إجمالي الساعات</t>
  </si>
  <si>
    <t>عدد ساعات العمل لإنتاج وحدة واحدة</t>
  </si>
  <si>
    <t>الإنتاج الشهري</t>
  </si>
  <si>
    <t>أقل من 16500 سا</t>
  </si>
  <si>
    <t>أقل من 3000 وحدة</t>
  </si>
  <si>
    <t>من 15005 إلى 20000</t>
  </si>
  <si>
    <t>من 3001 إلى 4000</t>
  </si>
  <si>
    <t>من 18004,5 إلى 22500</t>
  </si>
  <si>
    <t>من4001 إلى 5000</t>
  </si>
  <si>
    <t>أكثر من 20000 سا</t>
  </si>
  <si>
    <t>أكثر من 5000</t>
  </si>
  <si>
    <t>الخيار 1-1-1</t>
  </si>
  <si>
    <t xml:space="preserve">البيان </t>
  </si>
  <si>
    <t>القيمة</t>
  </si>
  <si>
    <t>س و</t>
  </si>
  <si>
    <t xml:space="preserve">الكمية </t>
  </si>
  <si>
    <t>رقم الأعمال</t>
  </si>
  <si>
    <t>التكاليف المتغيرة</t>
  </si>
  <si>
    <t>المواد الأولية</t>
  </si>
  <si>
    <t>العمل المباشر</t>
  </si>
  <si>
    <t>تكاليف التصنيع المتغيرة</t>
  </si>
  <si>
    <t>تكاليف البيع المتغيرة</t>
  </si>
  <si>
    <t>ها/التكلفة المتغيرة</t>
  </si>
  <si>
    <t>التكاليف الثابتة</t>
  </si>
  <si>
    <t>التكاليف الثابتة للتصنيع</t>
  </si>
  <si>
    <t>التكاليف الثابتة للبيع</t>
  </si>
  <si>
    <t>النتيجة</t>
  </si>
  <si>
    <t>الخيار 2-1-2</t>
  </si>
  <si>
    <t>الخيار 2-1-1</t>
  </si>
  <si>
    <t>الزبائن الحاليين</t>
  </si>
  <si>
    <t>الزبون الجديد</t>
  </si>
  <si>
    <t>الخيار 2-2-2</t>
  </si>
  <si>
    <t>الخيار 2-2-1</t>
  </si>
  <si>
    <t>العمل المباشر (سا)</t>
  </si>
  <si>
    <t>الساعات الإضافية (سا)</t>
  </si>
  <si>
    <t>الخيار 2-3-2</t>
  </si>
  <si>
    <t>الخيار 2-3-1</t>
  </si>
  <si>
    <t>التكاليف المتغيرة1</t>
  </si>
  <si>
    <t>الكميات</t>
  </si>
  <si>
    <t>التكاليف المتغيرة2</t>
  </si>
  <si>
    <t>نتيجة1</t>
  </si>
  <si>
    <t>نتيجة2</t>
  </si>
  <si>
    <t>تكلفة الوحدة</t>
  </si>
  <si>
    <t>عدد الوحدات</t>
  </si>
  <si>
    <t>تكلفة العمل الإجمالي</t>
  </si>
  <si>
    <t>الفرق</t>
  </si>
  <si>
    <t>عدد الساعات</t>
  </si>
  <si>
    <t>Column1</t>
  </si>
  <si>
    <t>Column2</t>
  </si>
  <si>
    <t>Column3</t>
  </si>
  <si>
    <t>العناصر</t>
  </si>
  <si>
    <t>عمل</t>
  </si>
  <si>
    <t>مواد</t>
  </si>
  <si>
    <t>اهتلاك</t>
  </si>
  <si>
    <t>خدمات</t>
  </si>
  <si>
    <t>مجموع</t>
  </si>
  <si>
    <t>مبلغ 2019</t>
  </si>
  <si>
    <t>مبلغ 2020</t>
  </si>
  <si>
    <t>نسبة النمو</t>
  </si>
  <si>
    <t>نسبة التمثيل لسنة 2019</t>
  </si>
  <si>
    <t>نسبة النمو المعدلة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</si>
</sst>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Sakkal Majalla"/>
    </font>
    <font>
      <sz val="16"/>
      <color theme="1"/>
      <name val="Sakkal Majalla"/>
    </font>
    <font>
      <b/>
      <sz val="14"/>
      <color theme="1"/>
      <name val="Sakkal Majalla"/>
    </font>
    <font>
      <sz val="8"/>
      <name val="Calibri"/>
      <family val="2"/>
      <scheme val="minor"/>
    </font>
    <font>
      <b/>
      <sz val="16"/>
      <color theme="0"/>
      <name val="Sakkal Majalla"/>
    </font>
    <font>
      <sz val="16"/>
      <name val="Sakkal Majalla"/>
    </font>
    <font>
      <sz val="14"/>
      <name val="Sakkal Majalla"/>
    </font>
    <font>
      <sz val="14"/>
      <color rgb="FFFF0000"/>
      <name val="Sakkal Majalla"/>
    </font>
    <font>
      <b/>
      <sz val="14"/>
      <color rgb="FFFF0000"/>
      <name val="Sakkal Majalla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3" fontId="2" fillId="0" borderId="1" xfId="1" applyFont="1" applyBorder="1" applyAlignment="1"/>
    <xf numFmtId="0" fontId="2" fillId="3" borderId="1" xfId="0" applyFont="1" applyFill="1" applyBorder="1"/>
    <xf numFmtId="43" fontId="4" fillId="3" borderId="1" xfId="1" applyFont="1" applyFill="1" applyBorder="1" applyAlignment="1"/>
    <xf numFmtId="43" fontId="2" fillId="3" borderId="1" xfId="1" applyFont="1" applyFill="1" applyBorder="1" applyAlignment="1"/>
    <xf numFmtId="43" fontId="4" fillId="0" borderId="1" xfId="1" applyFont="1" applyBorder="1" applyAlignment="1"/>
    <xf numFmtId="0" fontId="4" fillId="0" borderId="1" xfId="1" applyNumberFormat="1" applyFont="1" applyBorder="1" applyAlignment="1">
      <alignment horizontal="center"/>
    </xf>
    <xf numFmtId="43" fontId="4" fillId="0" borderId="1" xfId="1" applyFont="1" applyBorder="1"/>
    <xf numFmtId="0" fontId="2" fillId="0" borderId="1" xfId="1" applyNumberFormat="1" applyFont="1" applyBorder="1" applyAlignment="1">
      <alignment horizontal="center"/>
    </xf>
    <xf numFmtId="43" fontId="2" fillId="0" borderId="1" xfId="1" applyFont="1" applyBorder="1"/>
    <xf numFmtId="0" fontId="2" fillId="0" borderId="1" xfId="1" applyNumberFormat="1" applyFont="1" applyBorder="1"/>
    <xf numFmtId="0" fontId="2" fillId="0" borderId="1" xfId="1" applyNumberFormat="1" applyFont="1" applyBorder="1" applyAlignment="1"/>
    <xf numFmtId="0" fontId="4" fillId="0" borderId="1" xfId="1" applyNumberFormat="1" applyFont="1" applyBorder="1"/>
    <xf numFmtId="0" fontId="4" fillId="0" borderId="1" xfId="1" applyNumberFormat="1" applyFont="1" applyBorder="1" applyAlignment="1"/>
    <xf numFmtId="0" fontId="4" fillId="3" borderId="1" xfId="1" applyNumberFormat="1" applyFont="1" applyFill="1" applyBorder="1" applyAlignment="1">
      <alignment horizontal="center"/>
    </xf>
    <xf numFmtId="43" fontId="4" fillId="3" borderId="1" xfId="1" applyFont="1" applyFill="1" applyBorder="1"/>
    <xf numFmtId="0" fontId="4" fillId="3" borderId="1" xfId="0" applyFont="1" applyFill="1" applyBorder="1"/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/>
    <xf numFmtId="164" fontId="3" fillId="0" borderId="0" xfId="0" applyNumberFormat="1" applyFont="1"/>
    <xf numFmtId="43" fontId="3" fillId="0" borderId="0" xfId="0" applyNumberFormat="1" applyFont="1"/>
    <xf numFmtId="0" fontId="3" fillId="5" borderId="7" xfId="0" applyFont="1" applyFill="1" applyBorder="1"/>
    <xf numFmtId="43" fontId="3" fillId="5" borderId="8" xfId="1" applyFont="1" applyFill="1" applyBorder="1" applyAlignment="1"/>
    <xf numFmtId="43" fontId="3" fillId="5" borderId="8" xfId="1" applyFont="1" applyFill="1" applyBorder="1"/>
    <xf numFmtId="0" fontId="3" fillId="0" borderId="7" xfId="0" applyFont="1" applyBorder="1"/>
    <xf numFmtId="43" fontId="3" fillId="0" borderId="8" xfId="1" applyFont="1" applyBorder="1" applyAlignment="1"/>
    <xf numFmtId="43" fontId="3" fillId="0" borderId="8" xfId="1" applyFont="1" applyBorder="1"/>
    <xf numFmtId="0" fontId="6" fillId="4" borderId="9" xfId="0" applyFont="1" applyFill="1" applyBorder="1"/>
    <xf numFmtId="0" fontId="6" fillId="4" borderId="10" xfId="0" applyFont="1" applyFill="1" applyBorder="1"/>
    <xf numFmtId="0" fontId="3" fillId="0" borderId="11" xfId="0" applyFont="1" applyBorder="1"/>
    <xf numFmtId="43" fontId="3" fillId="0" borderId="12" xfId="1" applyFont="1" applyBorder="1" applyAlignment="1"/>
    <xf numFmtId="43" fontId="3" fillId="0" borderId="12" xfId="1" applyFont="1" applyBorder="1"/>
    <xf numFmtId="0" fontId="7" fillId="6" borderId="13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14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43" fontId="7" fillId="6" borderId="1" xfId="1" applyFont="1" applyFill="1" applyBorder="1" applyAlignment="1">
      <alignment horizontal="center"/>
    </xf>
    <xf numFmtId="43" fontId="8" fillId="6" borderId="4" xfId="1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43" fontId="7" fillId="6" borderId="2" xfId="1" applyFont="1" applyFill="1" applyBorder="1" applyAlignment="1">
      <alignment horizontal="center"/>
    </xf>
    <xf numFmtId="43" fontId="8" fillId="6" borderId="16" xfId="1" applyFont="1" applyFill="1" applyBorder="1" applyAlignment="1">
      <alignment horizontal="center"/>
    </xf>
    <xf numFmtId="43" fontId="4" fillId="2" borderId="1" xfId="1" applyFont="1" applyFill="1" applyBorder="1"/>
    <xf numFmtId="0" fontId="4" fillId="0" borderId="0" xfId="0" applyFont="1" applyAlignment="1">
      <alignment horizontal="center"/>
    </xf>
    <xf numFmtId="43" fontId="4" fillId="0" borderId="0" xfId="1" applyFont="1" applyFill="1" applyBorder="1"/>
    <xf numFmtId="43" fontId="2" fillId="0" borderId="0" xfId="1" applyFont="1" applyFill="1" applyBorder="1"/>
    <xf numFmtId="43" fontId="4" fillId="7" borderId="1" xfId="1" applyFont="1" applyFill="1" applyBorder="1"/>
    <xf numFmtId="43" fontId="9" fillId="0" borderId="1" xfId="1" applyFont="1" applyBorder="1"/>
    <xf numFmtId="0" fontId="10" fillId="0" borderId="1" xfId="1" applyNumberFormat="1" applyFont="1" applyBorder="1" applyAlignment="1">
      <alignment horizontal="center"/>
    </xf>
    <xf numFmtId="43" fontId="7" fillId="7" borderId="2" xfId="1" applyFont="1" applyFill="1" applyBorder="1" applyAlignment="1">
      <alignment horizontal="center"/>
    </xf>
    <xf numFmtId="43" fontId="0" fillId="0" borderId="0" xfId="1" applyFont="1"/>
    <xf numFmtId="9" fontId="0" fillId="0" borderId="0" xfId="2" applyFont="1"/>
    <xf numFmtId="10" fontId="0" fillId="0" borderId="0" xfId="2" applyNumberFormat="1" applyFont="1"/>
    <xf numFmtId="10" fontId="0" fillId="0" borderId="0" xfId="0" applyNumberFormat="1"/>
    <xf numFmtId="10" fontId="0" fillId="8" borderId="0" xfId="0" applyNumberFormat="1" applyFill="1"/>
    <xf numFmtId="10" fontId="0" fillId="8" borderId="0" xfId="2" applyNumberFormat="1" applyFont="1" applyFill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Sakkal Majalla"/>
        <scheme val="none"/>
      </font>
      <numFmt numFmtId="35" formatCode="_-* #,##0.00_-;\-* #,##0.00_-;_-* &quot;-&quot;??_-;_-@_-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Sakkal Majalla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akkal Majalla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akkal Majalla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akkal Majalla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akkal Majalla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Sakkal Majalla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Sakkal Majalla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5388692038495189"/>
          <c:y val="0.14856481481481484"/>
          <c:w val="0.80166863517060372"/>
          <c:h val="0.6714577865266842"/>
        </c:manualLayout>
      </c:layout>
      <c:lineChart>
        <c:grouping val="standard"/>
        <c:varyColors val="0"/>
        <c:ser>
          <c:idx val="0"/>
          <c:order val="2"/>
          <c:tx>
            <c:strRef>
              <c:f>'حل الحالة 03'!$D$16</c:f>
              <c:strCache>
                <c:ptCount val="1"/>
                <c:pt idx="0">
                  <c:v>نتيجة1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'حل الحالة 03'!$A$17:$A$21</c:f>
              <c:numCache>
                <c:formatCode>General</c:formatCode>
                <c:ptCount val="5"/>
                <c:pt idx="0">
                  <c:v>3500</c:v>
                </c:pt>
                <c:pt idx="1">
                  <c:v>4106</c:v>
                </c:pt>
                <c:pt idx="2">
                  <c:v>5280</c:v>
                </c:pt>
                <c:pt idx="3">
                  <c:v>5940</c:v>
                </c:pt>
                <c:pt idx="4">
                  <c:v>6000</c:v>
                </c:pt>
              </c:numCache>
            </c:numRef>
          </c:cat>
          <c:val>
            <c:numRef>
              <c:f>'حل الحالة 03'!$D$17:$D$21</c:f>
              <c:numCache>
                <c:formatCode>_(* #,##0.00_);_(* \(#,##0.00\);_(* "-"??_);_(@_)</c:formatCode>
                <c:ptCount val="5"/>
                <c:pt idx="0">
                  <c:v>192500</c:v>
                </c:pt>
                <c:pt idx="1">
                  <c:v>207650</c:v>
                </c:pt>
                <c:pt idx="2">
                  <c:v>339800</c:v>
                </c:pt>
                <c:pt idx="3">
                  <c:v>333200</c:v>
                </c:pt>
                <c:pt idx="4">
                  <c:v>332600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AD-40E7-8F44-AD10435BA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9552160"/>
        <c:axId val="1559535104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'حل الحالة 03'!$B$16</c15:sqref>
                        </c15:formulaRef>
                      </c:ext>
                    </c:extLst>
                    <c:strCache>
                      <c:ptCount val="1"/>
                      <c:pt idx="0">
                        <c:v>التكاليف المتغيرة1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'حل الحالة 03'!$A$17:$A$21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3500</c:v>
                      </c:pt>
                      <c:pt idx="1">
                        <c:v>4106</c:v>
                      </c:pt>
                      <c:pt idx="2">
                        <c:v>5280</c:v>
                      </c:pt>
                      <c:pt idx="3">
                        <c:v>5940</c:v>
                      </c:pt>
                      <c:pt idx="4">
                        <c:v>6000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'حل الحالة 03'!$B$17:$B$21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5"/>
                      <c:pt idx="0">
                        <c:v>375</c:v>
                      </c:pt>
                      <c:pt idx="1">
                        <c:v>352.07744763760348</c:v>
                      </c:pt>
                      <c:pt idx="2">
                        <c:v>333.25757575757575</c:v>
                      </c:pt>
                      <c:pt idx="3">
                        <c:v>339.56228956228955</c:v>
                      </c:pt>
                      <c:pt idx="4">
                        <c:v>340.07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9EAD-40E7-8F44-AD10435BACB2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'حل الحالة 03'!$C$16</c15:sqref>
                        </c15:formulaRef>
                      </c:ext>
                    </c:extLst>
                    <c:strCache>
                      <c:ptCount val="1"/>
                      <c:pt idx="0">
                        <c:v>التكاليف المتغيرة2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'حل الحالة 03'!$A$17:$A$21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3500</c:v>
                      </c:pt>
                      <c:pt idx="1">
                        <c:v>4106</c:v>
                      </c:pt>
                      <c:pt idx="2">
                        <c:v>5280</c:v>
                      </c:pt>
                      <c:pt idx="3">
                        <c:v>5940</c:v>
                      </c:pt>
                      <c:pt idx="4">
                        <c:v>6000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'حل الحالة 03'!$C$17:$C$21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5"/>
                      <c:pt idx="0">
                        <c:v>375</c:v>
                      </c:pt>
                      <c:pt idx="1">
                        <c:v>341.87773989283977</c:v>
                      </c:pt>
                      <c:pt idx="2">
                        <c:v>329.77272727272725</c:v>
                      </c:pt>
                      <c:pt idx="3">
                        <c:v>335.99326599326599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EAD-40E7-8F44-AD10435BACB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'حل الحالة 03'!$E$16</c15:sqref>
                        </c15:formulaRef>
                      </c:ext>
                    </c:extLst>
                    <c:strCache>
                      <c:ptCount val="1"/>
                      <c:pt idx="0">
                        <c:v>نتيجة2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'حل الحالة 03'!$A$17:$A$21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3500</c:v>
                      </c:pt>
                      <c:pt idx="1">
                        <c:v>4106</c:v>
                      </c:pt>
                      <c:pt idx="2">
                        <c:v>5280</c:v>
                      </c:pt>
                      <c:pt idx="3">
                        <c:v>5940</c:v>
                      </c:pt>
                      <c:pt idx="4">
                        <c:v>6000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'حل الحالة 03'!$E$17:$E$21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5"/>
                      <c:pt idx="0">
                        <c:v>0</c:v>
                      </c:pt>
                      <c:pt idx="1">
                        <c:v>-211150</c:v>
                      </c:pt>
                      <c:pt idx="2">
                        <c:v>155800</c:v>
                      </c:pt>
                      <c:pt idx="3">
                        <c:v>297200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EAD-40E7-8F44-AD10435BACB2}"/>
                  </c:ext>
                </c:extLst>
              </c15:ser>
            </c15:filteredLineSeries>
          </c:ext>
        </c:extLst>
      </c:lineChart>
      <c:catAx>
        <c:axId val="1559552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59535104"/>
        <c:crosses val="autoZero"/>
        <c:auto val="1"/>
        <c:lblAlgn val="ctr"/>
        <c:lblOffset val="100"/>
        <c:noMultiLvlLbl val="0"/>
      </c:catAx>
      <c:valAx>
        <c:axId val="155953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59552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'حل الحالة 03'!$B$16</c:f>
              <c:strCache>
                <c:ptCount val="1"/>
                <c:pt idx="0">
                  <c:v>التكاليف المتغيرة1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'حل الحالة 03'!$A$17:$A$21</c:f>
              <c:numCache>
                <c:formatCode>General</c:formatCode>
                <c:ptCount val="5"/>
                <c:pt idx="0">
                  <c:v>3500</c:v>
                </c:pt>
                <c:pt idx="1">
                  <c:v>4106</c:v>
                </c:pt>
                <c:pt idx="2">
                  <c:v>5280</c:v>
                </c:pt>
                <c:pt idx="3">
                  <c:v>5940</c:v>
                </c:pt>
                <c:pt idx="4">
                  <c:v>6000</c:v>
                </c:pt>
              </c:numCache>
            </c:numRef>
          </c:cat>
          <c:val>
            <c:numRef>
              <c:f>'حل الحالة 03'!$B$17:$B$21</c:f>
              <c:numCache>
                <c:formatCode>_(* #,##0.00_);_(* \(#,##0.00\);_(* "-"??_);_(@_)</c:formatCode>
                <c:ptCount val="5"/>
                <c:pt idx="0">
                  <c:v>375</c:v>
                </c:pt>
                <c:pt idx="1">
                  <c:v>352.07744763760348</c:v>
                </c:pt>
                <c:pt idx="2">
                  <c:v>333.25757575757575</c:v>
                </c:pt>
                <c:pt idx="3">
                  <c:v>339.56228956228955</c:v>
                </c:pt>
                <c:pt idx="4">
                  <c:v>340.07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36-4FE5-B6AC-D3F115BA5C7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32697807"/>
        <c:axId val="53269905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'حل الحالة 03'!$A$16</c15:sqref>
                        </c15:formulaRef>
                      </c:ext>
                    </c:extLst>
                    <c:strCache>
                      <c:ptCount val="1"/>
                      <c:pt idx="0">
                        <c:v>الكميات</c:v>
                      </c:pt>
                    </c:strCache>
                  </c:strRef>
                </c:tx>
                <c:spPr>
                  <a:ln w="38100" cap="flat" cmpd="dbl" algn="ctr">
                    <a:solidFill>
                      <a:schemeClr val="accent1"/>
                    </a:solidFill>
                    <a:miter lim="800000"/>
                  </a:ln>
                  <a:effectLst/>
                </c:spPr>
                <c:marker>
                  <c:symbol val="circle"/>
                  <c:size val="6"/>
                  <c:spPr>
                    <a:solidFill>
                      <a:schemeClr val="accent1"/>
                    </a:solidFill>
                    <a:ln w="9525" cap="flat" cmpd="sng" algn="ctr">
                      <a:solidFill>
                        <a:schemeClr val="lt1"/>
                      </a:solidFill>
                      <a:round/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'حل الحالة 03'!$A$17:$A$21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3500</c:v>
                      </c:pt>
                      <c:pt idx="1">
                        <c:v>4106</c:v>
                      </c:pt>
                      <c:pt idx="2">
                        <c:v>5280</c:v>
                      </c:pt>
                      <c:pt idx="3">
                        <c:v>5940</c:v>
                      </c:pt>
                      <c:pt idx="4">
                        <c:v>6000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'حل الحالة 03'!$A$17:$A$21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3500</c:v>
                      </c:pt>
                      <c:pt idx="1">
                        <c:v>4106</c:v>
                      </c:pt>
                      <c:pt idx="2">
                        <c:v>5280</c:v>
                      </c:pt>
                      <c:pt idx="3">
                        <c:v>5940</c:v>
                      </c:pt>
                      <c:pt idx="4">
                        <c:v>6000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8136-4FE5-B6AC-D3F115BA5C7D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'حل الحالة 03'!$C$16</c15:sqref>
                        </c15:formulaRef>
                      </c:ext>
                    </c:extLst>
                    <c:strCache>
                      <c:ptCount val="1"/>
                      <c:pt idx="0">
                        <c:v>التكاليف المتغيرة2</c:v>
                      </c:pt>
                    </c:strCache>
                  </c:strRef>
                </c:tx>
                <c:spPr>
                  <a:ln w="38100" cap="flat" cmpd="dbl" algn="ctr">
                    <a:solidFill>
                      <a:schemeClr val="accent3"/>
                    </a:solidFill>
                    <a:miter lim="800000"/>
                  </a:ln>
                  <a:effectLst/>
                </c:spPr>
                <c:marker>
                  <c:symbol val="circle"/>
                  <c:size val="6"/>
                  <c:spPr>
                    <a:solidFill>
                      <a:schemeClr val="accent3"/>
                    </a:solidFill>
                    <a:ln w="9525" cap="flat" cmpd="sng" algn="ctr">
                      <a:solidFill>
                        <a:schemeClr val="lt1"/>
                      </a:solidFill>
                      <a:round/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'حل الحالة 03'!$A$17:$A$21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3500</c:v>
                      </c:pt>
                      <c:pt idx="1">
                        <c:v>4106</c:v>
                      </c:pt>
                      <c:pt idx="2">
                        <c:v>5280</c:v>
                      </c:pt>
                      <c:pt idx="3">
                        <c:v>5940</c:v>
                      </c:pt>
                      <c:pt idx="4">
                        <c:v>6000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'حل الحالة 03'!$C$17:$C$21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5"/>
                      <c:pt idx="0">
                        <c:v>375</c:v>
                      </c:pt>
                      <c:pt idx="1">
                        <c:v>341.87773989283977</c:v>
                      </c:pt>
                      <c:pt idx="2">
                        <c:v>329.77272727272725</c:v>
                      </c:pt>
                      <c:pt idx="3">
                        <c:v>335.99326599326599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136-4FE5-B6AC-D3F115BA5C7D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'حل الحالة 03'!$D$16</c15:sqref>
                        </c15:formulaRef>
                      </c:ext>
                    </c:extLst>
                    <c:strCache>
                      <c:ptCount val="1"/>
                      <c:pt idx="0">
                        <c:v>نتيجة1</c:v>
                      </c:pt>
                    </c:strCache>
                  </c:strRef>
                </c:tx>
                <c:spPr>
                  <a:ln w="38100" cap="flat" cmpd="dbl" algn="ctr">
                    <a:solidFill>
                      <a:schemeClr val="accent4"/>
                    </a:solidFill>
                    <a:miter lim="800000"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'حل الحالة 03'!$A$17:$A$21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3500</c:v>
                      </c:pt>
                      <c:pt idx="1">
                        <c:v>4106</c:v>
                      </c:pt>
                      <c:pt idx="2">
                        <c:v>5280</c:v>
                      </c:pt>
                      <c:pt idx="3">
                        <c:v>5940</c:v>
                      </c:pt>
                      <c:pt idx="4">
                        <c:v>6000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'حل الحالة 03'!$D$17:$D$21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5"/>
                      <c:pt idx="0">
                        <c:v>192500</c:v>
                      </c:pt>
                      <c:pt idx="1">
                        <c:v>207650</c:v>
                      </c:pt>
                      <c:pt idx="2">
                        <c:v>339800</c:v>
                      </c:pt>
                      <c:pt idx="3">
                        <c:v>333200</c:v>
                      </c:pt>
                      <c:pt idx="4">
                        <c:v>332600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136-4FE5-B6AC-D3F115BA5C7D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'حل الحالة 03'!$E$16</c15:sqref>
                        </c15:formulaRef>
                      </c:ext>
                    </c:extLst>
                    <c:strCache>
                      <c:ptCount val="1"/>
                      <c:pt idx="0">
                        <c:v>نتيجة2</c:v>
                      </c:pt>
                    </c:strCache>
                  </c:strRef>
                </c:tx>
                <c:spPr>
                  <a:ln w="38100" cap="flat" cmpd="dbl" algn="ctr">
                    <a:solidFill>
                      <a:schemeClr val="accent5"/>
                    </a:solidFill>
                    <a:miter lim="800000"/>
                  </a:ln>
                  <a:effectLst/>
                </c:spPr>
                <c:marker>
                  <c:symbol val="circle"/>
                  <c:size val="6"/>
                  <c:spPr>
                    <a:solidFill>
                      <a:schemeClr val="accent5"/>
                    </a:solidFill>
                    <a:ln w="9525" cap="flat" cmpd="sng" algn="ctr">
                      <a:solidFill>
                        <a:schemeClr val="lt1"/>
                      </a:solidFill>
                      <a:round/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'حل الحالة 03'!$A$17:$A$21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3500</c:v>
                      </c:pt>
                      <c:pt idx="1">
                        <c:v>4106</c:v>
                      </c:pt>
                      <c:pt idx="2">
                        <c:v>5280</c:v>
                      </c:pt>
                      <c:pt idx="3">
                        <c:v>5940</c:v>
                      </c:pt>
                      <c:pt idx="4">
                        <c:v>6000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'حل الحالة 03'!$E$17:$E$21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5"/>
                      <c:pt idx="0">
                        <c:v>0</c:v>
                      </c:pt>
                      <c:pt idx="1">
                        <c:v>-211150</c:v>
                      </c:pt>
                      <c:pt idx="2">
                        <c:v>155800</c:v>
                      </c:pt>
                      <c:pt idx="3">
                        <c:v>297200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136-4FE5-B6AC-D3F115BA5C7D}"/>
                  </c:ext>
                </c:extLst>
              </c15:ser>
            </c15:filteredLineSeries>
          </c:ext>
        </c:extLst>
      </c:lineChart>
      <c:catAx>
        <c:axId val="5326978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2699055"/>
        <c:crosses val="autoZero"/>
        <c:auto val="1"/>
        <c:lblAlgn val="ctr"/>
        <c:lblOffset val="100"/>
        <c:noMultiLvlLbl val="0"/>
      </c:catAx>
      <c:valAx>
        <c:axId val="532699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326978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726810</xdr:colOff>
      <xdr:row>17</xdr:row>
      <xdr:rowOff>144842</xdr:rowOff>
    </xdr:from>
    <xdr:to>
      <xdr:col>10</xdr:col>
      <xdr:colOff>354542</xdr:colOff>
      <xdr:row>30</xdr:row>
      <xdr:rowOff>250297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EB7456-B70A-43E3-A95D-1D779C52C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832063</xdr:colOff>
      <xdr:row>21</xdr:row>
      <xdr:rowOff>95250</xdr:rowOff>
    </xdr:from>
    <xdr:to>
      <xdr:col>3</xdr:col>
      <xdr:colOff>363139</xdr:colOff>
      <xdr:row>30</xdr:row>
      <xdr:rowOff>234553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8222620-A697-B8E9-5D4A-6EC4B6D016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1764C3-DF0F-4DCE-9F62-AEFDA5E5EB05}" name="Table1" displayName="Table1" ref="A16:E21" totalsRowShown="0" headerRowDxfId="12" dataDxfId="10" headerRowBorderDxfId="11" tableBorderDxfId="9" totalsRowBorderDxfId="8">
  <autoFilter ref="A16:E21" xr:uid="{DF1764C3-DF0F-4DCE-9F62-AEFDA5E5EB05}"/>
  <tableColumns count="5">
    <tableColumn id="1" xr3:uid="{8684C159-734F-40F3-9EDB-DF8E78133D85}" name="الكميات" dataDxfId="7"/>
    <tableColumn id="2" xr3:uid="{4D9278F5-94C6-4442-8E2D-4A94E17E7E0D}" name="التكاليف المتغيرة1" dataDxfId="6" dataCellStyle="Comma"/>
    <tableColumn id="3" xr3:uid="{720EE9FB-F0C4-4593-9F4D-B7711AFDCDB3}" name="التكاليف المتغيرة2" dataDxfId="5" dataCellStyle="Comma"/>
    <tableColumn id="4" xr3:uid="{B61DD070-FB9A-437B-82D3-82D241CA866E}" name="نتيجة1" dataDxfId="4" dataCellStyle="Comma"/>
    <tableColumn id="5" xr3:uid="{86FC583B-1638-4D08-BBBE-D2623466901A}" name="نتيجة2" dataDxfId="3" dataCellStyle="Comm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685404C-DC3C-484C-BD3C-C0AF5BEF7281}" name="Table2" displayName="Table2" ref="AV19:AX25" totalsRowShown="0" headerRowBorderDxfId="2" tableBorderDxfId="1">
  <autoFilter ref="AV19:AX25" xr:uid="{5685404C-DC3C-484C-BD3C-C0AF5BEF7281}"/>
  <tableColumns count="3">
    <tableColumn id="1" xr3:uid="{480C8107-269B-4B78-9785-BCD56CF81008}" name="Column1"/>
    <tableColumn id="2" xr3:uid="{E7052CDA-C64C-43EB-B7F4-C0EA2B595557}" name="Column2" dataDxfId="0" dataCellStyle="Comma"/>
    <tableColumn id="3" xr3:uid="{3F494924-6740-4FC5-BA16-79205D88E3FB}" name="Column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83CCE-AE56-457E-9997-B062E88DEB1E}">
  <dimension ref="A1:AX27"/>
  <sheetViews>
    <sheetView rightToLeft="1" tabSelected="1" zoomScale="90" zoomScaleNormal="90" workbookViewId="0">
      <selection activeCell="B11" sqref="B11"/>
    </sheetView>
  </sheetViews>
  <sheetFormatPr defaultRowHeight="23.25" x14ac:dyDescent="0.5"/>
  <cols>
    <col min="1" max="1" width="18.28515625" style="6" bestFit="1" customWidth="1"/>
    <col min="2" max="2" width="34.28515625" style="6" bestFit="1" customWidth="1"/>
    <col min="3" max="3" width="22.140625" style="6" bestFit="1" customWidth="1"/>
    <col min="4" max="4" width="15.85546875" style="3" bestFit="1" customWidth="1"/>
    <col min="5" max="5" width="18.7109375" style="3" customWidth="1"/>
    <col min="6" max="6" width="13.140625" style="3" bestFit="1" customWidth="1"/>
    <col min="7" max="7" width="12.7109375" style="3" customWidth="1"/>
    <col min="8" max="8" width="14.85546875" style="3" customWidth="1"/>
    <col min="9" max="9" width="4.42578125" style="3" customWidth="1"/>
    <col min="10" max="10" width="20" style="2" bestFit="1" customWidth="1"/>
    <col min="11" max="11" width="6.85546875" style="2" bestFit="1" customWidth="1"/>
    <col min="12" max="12" width="8.5703125" style="2" bestFit="1" customWidth="1"/>
    <col min="13" max="13" width="14.140625" style="2" bestFit="1" customWidth="1"/>
    <col min="14" max="14" width="6.85546875" style="2" bestFit="1" customWidth="1"/>
    <col min="15" max="15" width="8.5703125" style="2" bestFit="1" customWidth="1"/>
    <col min="16" max="16" width="14.140625" style="2" bestFit="1" customWidth="1"/>
    <col min="17" max="17" width="6.140625" style="3" customWidth="1"/>
    <col min="18" max="18" width="20" style="3" bestFit="1" customWidth="1"/>
    <col min="19" max="19" width="6.85546875" style="3" bestFit="1" customWidth="1"/>
    <col min="20" max="20" width="8.5703125" style="3" bestFit="1" customWidth="1"/>
    <col min="21" max="21" width="14.140625" style="3" bestFit="1" customWidth="1"/>
    <col min="22" max="22" width="6.85546875" style="3" bestFit="1" customWidth="1"/>
    <col min="23" max="23" width="8.5703125" style="3" bestFit="1" customWidth="1"/>
    <col min="24" max="24" width="14.140625" style="3" bestFit="1" customWidth="1"/>
    <col min="25" max="25" width="2.28515625" style="3" customWidth="1"/>
    <col min="26" max="26" width="20" style="2" bestFit="1" customWidth="1"/>
    <col min="27" max="27" width="9.7109375" style="2" customWidth="1"/>
    <col min="28" max="28" width="8.140625" style="2" customWidth="1"/>
    <col min="29" max="29" width="14.85546875" style="2" customWidth="1"/>
    <col min="30" max="30" width="8.7109375" style="2" customWidth="1"/>
    <col min="31" max="31" width="11.140625" style="2" bestFit="1" customWidth="1"/>
    <col min="32" max="32" width="14.140625" style="2" bestFit="1" customWidth="1"/>
    <col min="33" max="37" width="14.140625" style="2" customWidth="1"/>
    <col min="38" max="38" width="17.28515625" style="3" bestFit="1" customWidth="1"/>
    <col min="39" max="42" width="9.140625" style="3"/>
    <col min="43" max="43" width="20" style="3" bestFit="1" customWidth="1"/>
    <col min="44" max="44" width="6.85546875" style="3" bestFit="1" customWidth="1"/>
    <col min="45" max="45" width="8.5703125" style="3" bestFit="1" customWidth="1"/>
    <col min="46" max="46" width="14.140625" style="3" bestFit="1" customWidth="1"/>
    <col min="47" max="47" width="9.140625" style="3"/>
    <col min="48" max="50" width="12.5703125" style="3" bestFit="1" customWidth="1"/>
    <col min="51" max="16384" width="9.140625" style="3"/>
  </cols>
  <sheetData>
    <row r="1" spans="1:46" x14ac:dyDescent="0.5">
      <c r="A1" s="72" t="s">
        <v>46</v>
      </c>
      <c r="B1" s="72"/>
      <c r="C1" s="72"/>
      <c r="E1" s="74" t="s">
        <v>12</v>
      </c>
      <c r="F1" s="73" t="s">
        <v>11</v>
      </c>
      <c r="G1" s="73"/>
      <c r="H1" s="73"/>
      <c r="J1" s="64" t="s">
        <v>12</v>
      </c>
      <c r="K1" s="66" t="s">
        <v>28</v>
      </c>
      <c r="L1" s="67"/>
      <c r="M1" s="68"/>
      <c r="N1" s="66" t="s">
        <v>27</v>
      </c>
      <c r="O1" s="67"/>
      <c r="P1" s="68"/>
      <c r="R1" s="64" t="s">
        <v>12</v>
      </c>
      <c r="S1" s="66" t="s">
        <v>32</v>
      </c>
      <c r="T1" s="67"/>
      <c r="U1" s="68"/>
      <c r="V1" s="66" t="s">
        <v>31</v>
      </c>
      <c r="W1" s="67"/>
      <c r="X1" s="68"/>
      <c r="Z1" s="64" t="s">
        <v>12</v>
      </c>
      <c r="AA1" s="69" t="s">
        <v>36</v>
      </c>
      <c r="AB1" s="70"/>
      <c r="AC1" s="71"/>
      <c r="AD1" s="69" t="s">
        <v>35</v>
      </c>
      <c r="AE1" s="70"/>
      <c r="AF1" s="71"/>
      <c r="AG1" s="51"/>
      <c r="AH1" s="51"/>
      <c r="AI1" s="51"/>
      <c r="AJ1" s="51"/>
      <c r="AK1" s="51"/>
      <c r="AQ1" s="64"/>
      <c r="AR1" s="66"/>
      <c r="AS1" s="67"/>
      <c r="AT1" s="68"/>
    </row>
    <row r="2" spans="1:46" x14ac:dyDescent="0.5">
      <c r="A2" s="7" t="s">
        <v>2</v>
      </c>
      <c r="B2" s="7" t="s">
        <v>1</v>
      </c>
      <c r="C2" s="7" t="s">
        <v>0</v>
      </c>
      <c r="E2" s="74"/>
      <c r="F2" s="9" t="s">
        <v>15</v>
      </c>
      <c r="G2" s="9" t="s">
        <v>14</v>
      </c>
      <c r="H2" s="9" t="s">
        <v>13</v>
      </c>
      <c r="J2" s="65"/>
      <c r="K2" s="8" t="s">
        <v>15</v>
      </c>
      <c r="L2" s="8" t="s">
        <v>14</v>
      </c>
      <c r="M2" s="8" t="s">
        <v>13</v>
      </c>
      <c r="N2" s="8" t="s">
        <v>15</v>
      </c>
      <c r="O2" s="8" t="s">
        <v>14</v>
      </c>
      <c r="P2" s="8" t="s">
        <v>13</v>
      </c>
      <c r="R2" s="65"/>
      <c r="S2" s="8" t="s">
        <v>15</v>
      </c>
      <c r="T2" s="8" t="s">
        <v>14</v>
      </c>
      <c r="U2" s="8" t="s">
        <v>13</v>
      </c>
      <c r="V2" s="8" t="s">
        <v>15</v>
      </c>
      <c r="W2" s="8" t="s">
        <v>14</v>
      </c>
      <c r="X2" s="8" t="s">
        <v>13</v>
      </c>
      <c r="Z2" s="65"/>
      <c r="AA2" s="9" t="s">
        <v>15</v>
      </c>
      <c r="AB2" s="9" t="s">
        <v>14</v>
      </c>
      <c r="AC2" s="9" t="s">
        <v>13</v>
      </c>
      <c r="AD2" s="9" t="s">
        <v>15</v>
      </c>
      <c r="AE2" s="9" t="s">
        <v>14</v>
      </c>
      <c r="AF2" s="9" t="s">
        <v>13</v>
      </c>
      <c r="AG2" s="51"/>
      <c r="AH2" s="51"/>
      <c r="AI2" s="51"/>
      <c r="AJ2" s="51"/>
      <c r="AK2" s="51"/>
      <c r="AQ2" s="65"/>
      <c r="AR2" s="8"/>
      <c r="AS2" s="8"/>
      <c r="AT2" s="8"/>
    </row>
    <row r="3" spans="1:46" x14ac:dyDescent="0.5">
      <c r="A3" s="4" t="s">
        <v>4</v>
      </c>
      <c r="B3" s="4">
        <v>5.5</v>
      </c>
      <c r="C3" s="4" t="s">
        <v>3</v>
      </c>
      <c r="E3" s="11" t="s">
        <v>16</v>
      </c>
      <c r="F3" s="12">
        <v>3500</v>
      </c>
      <c r="G3" s="12">
        <v>600</v>
      </c>
      <c r="H3" s="12">
        <f t="shared" ref="H3:H9" si="0">F3*G3</f>
        <v>2100000</v>
      </c>
      <c r="J3" s="11" t="s">
        <v>16</v>
      </c>
      <c r="K3" s="23">
        <v>4106</v>
      </c>
      <c r="L3" s="24">
        <f>+M3/K3</f>
        <v>567.53044325377493</v>
      </c>
      <c r="M3" s="24">
        <f>+M4+M5</f>
        <v>2330280</v>
      </c>
      <c r="N3" s="23">
        <v>4106</v>
      </c>
      <c r="O3" s="24">
        <f>+P3/N3</f>
        <v>455.33365806137363</v>
      </c>
      <c r="P3" s="24">
        <f>+P4+P5</f>
        <v>1869600</v>
      </c>
      <c r="R3" s="11" t="s">
        <v>16</v>
      </c>
      <c r="S3" s="23">
        <f>+S4+S5</f>
        <v>5280</v>
      </c>
      <c r="T3" s="24">
        <f>+U3/S3</f>
        <v>525.83333333333337</v>
      </c>
      <c r="U3" s="24">
        <f>+U4+U5</f>
        <v>2776400</v>
      </c>
      <c r="V3" s="23">
        <f>+V4+V5</f>
        <v>5280</v>
      </c>
      <c r="W3" s="24">
        <f>+X3/V3</f>
        <v>487.5</v>
      </c>
      <c r="X3" s="24">
        <f>+X4+X5</f>
        <v>2574000</v>
      </c>
      <c r="Z3" s="25" t="s">
        <v>16</v>
      </c>
      <c r="AA3" s="23">
        <v>5940</v>
      </c>
      <c r="AB3" s="24">
        <f>+AC3/AA3</f>
        <v>509.62962962962962</v>
      </c>
      <c r="AC3" s="24">
        <f>+AC4+AC5</f>
        <v>3027200</v>
      </c>
      <c r="AD3" s="23">
        <f>+AD4+AD5</f>
        <v>5940</v>
      </c>
      <c r="AE3" s="24">
        <f>+AF3/AD3</f>
        <v>500</v>
      </c>
      <c r="AF3" s="24">
        <f>+AF4+AF5</f>
        <v>2970000</v>
      </c>
      <c r="AG3" s="52"/>
      <c r="AH3" s="52"/>
      <c r="AI3" s="52"/>
      <c r="AJ3" s="52"/>
      <c r="AK3" s="52"/>
      <c r="AQ3" s="11"/>
      <c r="AR3" s="23"/>
      <c r="AS3" s="24"/>
      <c r="AT3" s="24"/>
    </row>
    <row r="4" spans="1:46" x14ac:dyDescent="0.5">
      <c r="A4" s="4" t="s">
        <v>6</v>
      </c>
      <c r="B4" s="4">
        <v>5</v>
      </c>
      <c r="C4" s="4" t="s">
        <v>5</v>
      </c>
      <c r="E4" s="11" t="s">
        <v>17</v>
      </c>
      <c r="F4" s="12">
        <v>3500</v>
      </c>
      <c r="G4" s="12">
        <f>+H4/F4</f>
        <v>375</v>
      </c>
      <c r="H4" s="12">
        <f>+H5+H6+H7+H8</f>
        <v>1312500</v>
      </c>
      <c r="J4" s="1" t="s">
        <v>29</v>
      </c>
      <c r="K4" s="17">
        <v>3500</v>
      </c>
      <c r="L4" s="18">
        <v>600</v>
      </c>
      <c r="M4" s="18">
        <f>K4*L4</f>
        <v>2100000</v>
      </c>
      <c r="N4" s="17">
        <v>1406</v>
      </c>
      <c r="O4" s="18">
        <v>600</v>
      </c>
      <c r="P4" s="18">
        <f>N4*O4</f>
        <v>843600</v>
      </c>
      <c r="R4" s="1" t="s">
        <v>29</v>
      </c>
      <c r="S4" s="17">
        <v>3500</v>
      </c>
      <c r="T4" s="18">
        <v>600</v>
      </c>
      <c r="U4" s="18">
        <f>+T4*S4</f>
        <v>2100000</v>
      </c>
      <c r="V4" s="17">
        <f>5280-2700</f>
        <v>2580</v>
      </c>
      <c r="W4" s="18">
        <v>600</v>
      </c>
      <c r="X4" s="18">
        <f>+W4*V4</f>
        <v>1548000</v>
      </c>
      <c r="Z4" s="1" t="s">
        <v>29</v>
      </c>
      <c r="AA4" s="17">
        <v>3500</v>
      </c>
      <c r="AB4" s="18">
        <v>600</v>
      </c>
      <c r="AC4" s="18">
        <f>+AB4*AA4</f>
        <v>2100000</v>
      </c>
      <c r="AD4" s="17">
        <v>3240</v>
      </c>
      <c r="AE4" s="18">
        <v>600</v>
      </c>
      <c r="AF4" s="18">
        <f>+AE4*AD4</f>
        <v>1944000</v>
      </c>
      <c r="AG4" s="53"/>
      <c r="AH4" s="53"/>
      <c r="AI4" s="53"/>
      <c r="AJ4" s="53"/>
      <c r="AK4" s="53"/>
      <c r="AQ4" s="1"/>
      <c r="AR4" s="17"/>
      <c r="AS4" s="18"/>
      <c r="AT4" s="18"/>
    </row>
    <row r="5" spans="1:46" x14ac:dyDescent="0.5">
      <c r="A5" s="5" t="s">
        <v>8</v>
      </c>
      <c r="B5" s="5">
        <v>4.5</v>
      </c>
      <c r="C5" s="5" t="s">
        <v>7</v>
      </c>
      <c r="E5" s="1" t="s">
        <v>18</v>
      </c>
      <c r="F5" s="10">
        <v>3500</v>
      </c>
      <c r="G5" s="10">
        <v>125</v>
      </c>
      <c r="H5" s="10">
        <f t="shared" si="0"/>
        <v>437500</v>
      </c>
      <c r="J5" s="1" t="s">
        <v>30</v>
      </c>
      <c r="K5" s="17">
        <v>606</v>
      </c>
      <c r="L5" s="18">
        <v>380</v>
      </c>
      <c r="M5" s="18">
        <f>K5*L5</f>
        <v>230280</v>
      </c>
      <c r="N5" s="17">
        <v>2700</v>
      </c>
      <c r="O5" s="18">
        <v>380</v>
      </c>
      <c r="P5" s="18">
        <f>N5*O5</f>
        <v>1026000</v>
      </c>
      <c r="R5" s="1" t="s">
        <v>30</v>
      </c>
      <c r="S5" s="17">
        <v>1780</v>
      </c>
      <c r="T5" s="18">
        <v>380</v>
      </c>
      <c r="U5" s="18">
        <f>+T5*S5</f>
        <v>676400</v>
      </c>
      <c r="V5" s="17">
        <v>2700</v>
      </c>
      <c r="W5" s="18">
        <v>380</v>
      </c>
      <c r="X5" s="18">
        <f>+W5*V5</f>
        <v>1026000</v>
      </c>
      <c r="Z5" s="1" t="s">
        <v>30</v>
      </c>
      <c r="AA5" s="17">
        <f>AA3-AA4</f>
        <v>2440</v>
      </c>
      <c r="AB5" s="18">
        <v>380</v>
      </c>
      <c r="AC5" s="18">
        <f>+AB5*AA5</f>
        <v>927200</v>
      </c>
      <c r="AD5" s="17">
        <v>2700</v>
      </c>
      <c r="AE5" s="18">
        <v>380</v>
      </c>
      <c r="AF5" s="18">
        <f>+AE5*AD5</f>
        <v>1026000</v>
      </c>
      <c r="AG5" s="53"/>
      <c r="AH5" s="53"/>
      <c r="AI5" s="53"/>
      <c r="AJ5" s="53"/>
      <c r="AK5" s="53"/>
      <c r="AQ5" s="1"/>
      <c r="AR5" s="17"/>
      <c r="AS5" s="18"/>
      <c r="AT5" s="18"/>
    </row>
    <row r="6" spans="1:46" x14ac:dyDescent="0.5">
      <c r="A6" s="4" t="s">
        <v>10</v>
      </c>
      <c r="B6" s="4">
        <v>4</v>
      </c>
      <c r="C6" s="4" t="s">
        <v>9</v>
      </c>
      <c r="E6" s="1" t="s">
        <v>19</v>
      </c>
      <c r="F6" s="10">
        <f>3500*5</f>
        <v>17500</v>
      </c>
      <c r="G6" s="10">
        <v>40</v>
      </c>
      <c r="H6" s="10">
        <f t="shared" si="0"/>
        <v>700000</v>
      </c>
      <c r="J6" s="11" t="s">
        <v>17</v>
      </c>
      <c r="K6" s="23">
        <v>4106</v>
      </c>
      <c r="L6" s="24">
        <f>M6/K6</f>
        <v>352.07744763760348</v>
      </c>
      <c r="M6" s="24">
        <f>M7+M8+M9+M10</f>
        <v>1445630</v>
      </c>
      <c r="N6" s="23">
        <v>4106</v>
      </c>
      <c r="O6" s="24">
        <f>P6/N6</f>
        <v>341.87773989283977</v>
      </c>
      <c r="P6" s="24">
        <f>P7+P8+P9+P10</f>
        <v>1403750</v>
      </c>
      <c r="Q6" s="28"/>
      <c r="R6" s="11" t="s">
        <v>17</v>
      </c>
      <c r="S6" s="23">
        <v>5280</v>
      </c>
      <c r="T6" s="54">
        <f>+U6/S6</f>
        <v>333.25757575757575</v>
      </c>
      <c r="U6" s="24">
        <f>+U7+U8+U9+U10+U11</f>
        <v>1759600</v>
      </c>
      <c r="V6" s="23">
        <v>5280</v>
      </c>
      <c r="W6" s="54">
        <f>+X6/V6</f>
        <v>329.24242424242425</v>
      </c>
      <c r="X6" s="24">
        <f>+X7+X8+X9+X10+X11</f>
        <v>1738400</v>
      </c>
      <c r="Y6" s="29"/>
      <c r="Z6" s="25" t="s">
        <v>17</v>
      </c>
      <c r="AA6" s="23">
        <f>AA3</f>
        <v>5940</v>
      </c>
      <c r="AB6" s="54">
        <f>+AC6/AA6</f>
        <v>339.56228956228955</v>
      </c>
      <c r="AC6" s="24">
        <f>+AC7+AC8+AC9+AC10+AC11</f>
        <v>2017000</v>
      </c>
      <c r="AD6" s="23">
        <v>5940</v>
      </c>
      <c r="AE6" s="54">
        <f>+AF6/AD6</f>
        <v>338.68686868686871</v>
      </c>
      <c r="AF6" s="24">
        <f>+AF7+AF8+AF9+AF10+AF11</f>
        <v>2011800</v>
      </c>
      <c r="AG6" s="52"/>
      <c r="AH6" s="52"/>
      <c r="AI6" s="52"/>
      <c r="AJ6" s="52"/>
      <c r="AK6" s="52"/>
      <c r="AQ6" s="11"/>
      <c r="AR6" s="23"/>
      <c r="AS6" s="24"/>
      <c r="AT6" s="24"/>
    </row>
    <row r="7" spans="1:46" x14ac:dyDescent="0.5">
      <c r="E7" s="1" t="s">
        <v>20</v>
      </c>
      <c r="F7" s="10">
        <v>3500</v>
      </c>
      <c r="G7" s="10">
        <v>30</v>
      </c>
      <c r="H7" s="10">
        <f t="shared" si="0"/>
        <v>105000</v>
      </c>
      <c r="J7" s="1" t="s">
        <v>18</v>
      </c>
      <c r="K7" s="15">
        <f t="shared" ref="K7" si="1">K6</f>
        <v>4106</v>
      </c>
      <c r="L7" s="18">
        <v>125</v>
      </c>
      <c r="M7" s="18">
        <f t="shared" ref="M7:M10" si="2">K7*L7</f>
        <v>513250</v>
      </c>
      <c r="N7" s="15">
        <f t="shared" ref="N7" si="3">N6</f>
        <v>4106</v>
      </c>
      <c r="O7" s="18">
        <v>125</v>
      </c>
      <c r="P7" s="18">
        <f t="shared" ref="P7:P10" si="4">N7*O7</f>
        <v>513250</v>
      </c>
      <c r="R7" s="1" t="s">
        <v>18</v>
      </c>
      <c r="S7" s="15">
        <v>5280</v>
      </c>
      <c r="T7" s="55">
        <v>120</v>
      </c>
      <c r="U7" s="18">
        <f>+T7*S7</f>
        <v>633600</v>
      </c>
      <c r="V7" s="15">
        <v>5280</v>
      </c>
      <c r="W7" s="55">
        <v>120</v>
      </c>
      <c r="X7" s="18">
        <f>+W7*V7</f>
        <v>633600</v>
      </c>
      <c r="Y7" s="29"/>
      <c r="Z7" s="1" t="s">
        <v>18</v>
      </c>
      <c r="AA7" s="15">
        <f t="shared" ref="AA7" si="5">AA6</f>
        <v>5940</v>
      </c>
      <c r="AB7" s="18">
        <v>120</v>
      </c>
      <c r="AC7" s="18">
        <f>+AB7*AA7</f>
        <v>712800</v>
      </c>
      <c r="AD7" s="15">
        <f t="shared" ref="AD7" si="6">AD6</f>
        <v>5940</v>
      </c>
      <c r="AE7" s="18">
        <v>120</v>
      </c>
      <c r="AF7" s="18">
        <f>+AE7*AD7</f>
        <v>712800</v>
      </c>
      <c r="AG7" s="53"/>
      <c r="AH7" s="53"/>
      <c r="AI7" s="53"/>
      <c r="AJ7" s="53"/>
      <c r="AK7" s="53"/>
      <c r="AQ7" s="1"/>
      <c r="AR7" s="15"/>
      <c r="AS7" s="18"/>
      <c r="AT7" s="18"/>
    </row>
    <row r="8" spans="1:46" x14ac:dyDescent="0.5">
      <c r="A8" s="3"/>
      <c r="B8" s="3"/>
      <c r="C8" s="3"/>
      <c r="E8" s="1" t="s">
        <v>21</v>
      </c>
      <c r="F8" s="10">
        <v>3500</v>
      </c>
      <c r="G8" s="10">
        <v>20</v>
      </c>
      <c r="H8" s="10">
        <f t="shared" si="0"/>
        <v>70000</v>
      </c>
      <c r="J8" s="1" t="s">
        <v>19</v>
      </c>
      <c r="K8" s="15">
        <v>18480</v>
      </c>
      <c r="L8" s="18">
        <v>40</v>
      </c>
      <c r="M8" s="18">
        <f t="shared" si="2"/>
        <v>739200</v>
      </c>
      <c r="N8" s="15">
        <v>18480</v>
      </c>
      <c r="O8" s="18">
        <v>40</v>
      </c>
      <c r="P8" s="18">
        <f t="shared" si="4"/>
        <v>739200</v>
      </c>
      <c r="Q8" s="28"/>
      <c r="R8" s="1" t="s">
        <v>33</v>
      </c>
      <c r="S8" s="15">
        <v>18480</v>
      </c>
      <c r="T8" s="18">
        <v>40</v>
      </c>
      <c r="U8" s="18">
        <f t="shared" ref="U8:U11" si="7">+T8*S8</f>
        <v>739200</v>
      </c>
      <c r="V8" s="15">
        <v>18480</v>
      </c>
      <c r="W8" s="18">
        <v>40</v>
      </c>
      <c r="X8" s="18">
        <f t="shared" ref="X8:X11" si="8">+W8*V8</f>
        <v>739200</v>
      </c>
      <c r="Y8" s="28"/>
      <c r="Z8" s="1" t="s">
        <v>33</v>
      </c>
      <c r="AA8" s="15">
        <v>18480</v>
      </c>
      <c r="AB8" s="18">
        <v>40</v>
      </c>
      <c r="AC8" s="18">
        <f t="shared" ref="AC8:AC11" si="9">+AB8*AA8</f>
        <v>739200</v>
      </c>
      <c r="AD8" s="15">
        <v>18480</v>
      </c>
      <c r="AE8" s="18">
        <v>40</v>
      </c>
      <c r="AF8" s="18">
        <f t="shared" ref="AF8:AF11" si="10">+AE8*AD8</f>
        <v>739200</v>
      </c>
      <c r="AG8" s="53"/>
      <c r="AH8" s="53"/>
      <c r="AI8" s="53"/>
      <c r="AJ8" s="53"/>
      <c r="AK8" s="53"/>
      <c r="AL8" s="28"/>
      <c r="AQ8" s="1"/>
      <c r="AR8" s="15"/>
      <c r="AS8" s="18"/>
      <c r="AT8" s="18"/>
    </row>
    <row r="9" spans="1:46" x14ac:dyDescent="0.5">
      <c r="A9" s="3"/>
      <c r="B9" s="3"/>
      <c r="C9" s="3"/>
      <c r="E9" s="11" t="s">
        <v>22</v>
      </c>
      <c r="F9" s="12">
        <v>3500</v>
      </c>
      <c r="G9" s="12">
        <f>G3-G4</f>
        <v>225</v>
      </c>
      <c r="H9" s="12">
        <f t="shared" si="0"/>
        <v>787500</v>
      </c>
      <c r="J9" s="1" t="s">
        <v>20</v>
      </c>
      <c r="K9" s="15">
        <f>K7</f>
        <v>4106</v>
      </c>
      <c r="L9" s="18">
        <v>30</v>
      </c>
      <c r="M9" s="18">
        <f t="shared" si="2"/>
        <v>123180</v>
      </c>
      <c r="N9" s="15">
        <f>N7</f>
        <v>4106</v>
      </c>
      <c r="O9" s="18">
        <v>30</v>
      </c>
      <c r="P9" s="18">
        <f t="shared" si="4"/>
        <v>123180</v>
      </c>
      <c r="R9" s="1" t="s">
        <v>34</v>
      </c>
      <c r="S9" s="56">
        <f>120*22</f>
        <v>2640</v>
      </c>
      <c r="T9" s="55">
        <v>60</v>
      </c>
      <c r="U9" s="18">
        <f t="shared" si="7"/>
        <v>158400</v>
      </c>
      <c r="V9" s="56">
        <f>120*22</f>
        <v>2640</v>
      </c>
      <c r="W9" s="55">
        <v>60</v>
      </c>
      <c r="X9" s="18">
        <f t="shared" si="8"/>
        <v>158400</v>
      </c>
      <c r="Z9" s="1" t="s">
        <v>34</v>
      </c>
      <c r="AA9" s="56">
        <f>120*22*2</f>
        <v>5280</v>
      </c>
      <c r="AB9" s="55">
        <v>60</v>
      </c>
      <c r="AC9" s="18">
        <f t="shared" si="9"/>
        <v>316800</v>
      </c>
      <c r="AD9" s="56">
        <f>120*22*2</f>
        <v>5280</v>
      </c>
      <c r="AE9" s="55">
        <v>60</v>
      </c>
      <c r="AF9" s="18">
        <f t="shared" si="10"/>
        <v>316800</v>
      </c>
      <c r="AG9" s="53"/>
      <c r="AH9" s="53"/>
      <c r="AI9" s="53"/>
      <c r="AJ9" s="53"/>
      <c r="AK9" s="53"/>
      <c r="AQ9" s="1"/>
      <c r="AR9" s="15"/>
      <c r="AS9" s="18"/>
      <c r="AT9" s="18"/>
    </row>
    <row r="10" spans="1:46" x14ac:dyDescent="0.5">
      <c r="A10" s="3"/>
      <c r="B10" s="3"/>
      <c r="C10" s="3"/>
      <c r="E10" s="11" t="s">
        <v>23</v>
      </c>
      <c r="F10" s="13"/>
      <c r="G10" s="13"/>
      <c r="H10" s="12">
        <f>SUM(H11:H12)</f>
        <v>595000</v>
      </c>
      <c r="J10" s="1" t="s">
        <v>21</v>
      </c>
      <c r="K10" s="15">
        <v>3500</v>
      </c>
      <c r="L10" s="18">
        <v>20</v>
      </c>
      <c r="M10" s="18">
        <f t="shared" si="2"/>
        <v>70000</v>
      </c>
      <c r="N10" s="15">
        <v>1406</v>
      </c>
      <c r="O10" s="18">
        <v>20</v>
      </c>
      <c r="P10" s="18">
        <f t="shared" si="4"/>
        <v>28120</v>
      </c>
      <c r="R10" s="1" t="s">
        <v>20</v>
      </c>
      <c r="S10" s="15">
        <v>5280</v>
      </c>
      <c r="T10" s="18">
        <v>30</v>
      </c>
      <c r="U10" s="18">
        <f t="shared" si="7"/>
        <v>158400</v>
      </c>
      <c r="V10" s="15">
        <v>5280</v>
      </c>
      <c r="W10" s="18">
        <v>30</v>
      </c>
      <c r="X10" s="18">
        <f t="shared" si="8"/>
        <v>158400</v>
      </c>
      <c r="Y10" s="29"/>
      <c r="Z10" s="1" t="s">
        <v>20</v>
      </c>
      <c r="AA10" s="15">
        <f>AA7</f>
        <v>5940</v>
      </c>
      <c r="AB10" s="18">
        <v>30</v>
      </c>
      <c r="AC10" s="18">
        <f t="shared" si="9"/>
        <v>178200</v>
      </c>
      <c r="AD10" s="15">
        <f>AD7</f>
        <v>5940</v>
      </c>
      <c r="AE10" s="18">
        <v>30</v>
      </c>
      <c r="AF10" s="18">
        <f t="shared" si="10"/>
        <v>178200</v>
      </c>
      <c r="AG10" s="53"/>
      <c r="AH10" s="53"/>
      <c r="AI10" s="53"/>
      <c r="AJ10" s="53"/>
      <c r="AK10" s="53"/>
      <c r="AQ10" s="1"/>
      <c r="AR10" s="15"/>
      <c r="AS10" s="18"/>
      <c r="AT10" s="18"/>
    </row>
    <row r="11" spans="1:46" x14ac:dyDescent="0.5">
      <c r="A11" s="3"/>
      <c r="B11" s="3"/>
      <c r="C11" s="3"/>
      <c r="E11" s="1" t="s">
        <v>24</v>
      </c>
      <c r="F11" s="14"/>
      <c r="G11" s="14"/>
      <c r="H11" s="10">
        <v>200000</v>
      </c>
      <c r="J11" s="11" t="s">
        <v>22</v>
      </c>
      <c r="K11" s="23">
        <v>4106</v>
      </c>
      <c r="L11" s="24">
        <f>+M11/K11</f>
        <v>215.45299561617145</v>
      </c>
      <c r="M11" s="24">
        <f>M3-M6</f>
        <v>884650</v>
      </c>
      <c r="N11" s="23">
        <v>4106</v>
      </c>
      <c r="O11" s="24">
        <f>+P11/N11</f>
        <v>113.45591816853386</v>
      </c>
      <c r="P11" s="24">
        <f>P3-P6</f>
        <v>465850</v>
      </c>
      <c r="R11" s="1" t="s">
        <v>21</v>
      </c>
      <c r="S11" s="56">
        <v>3500</v>
      </c>
      <c r="T11" s="55">
        <v>20</v>
      </c>
      <c r="U11" s="18">
        <f t="shared" si="7"/>
        <v>70000</v>
      </c>
      <c r="V11" s="56">
        <v>2440</v>
      </c>
      <c r="W11" s="55">
        <v>20</v>
      </c>
      <c r="X11" s="18">
        <f t="shared" si="8"/>
        <v>48800</v>
      </c>
      <c r="Y11" s="29"/>
      <c r="Z11" s="1" t="s">
        <v>21</v>
      </c>
      <c r="AA11" s="15">
        <v>3500</v>
      </c>
      <c r="AB11" s="18">
        <v>20</v>
      </c>
      <c r="AC11" s="18">
        <f t="shared" si="9"/>
        <v>70000</v>
      </c>
      <c r="AD11" s="15">
        <v>3240</v>
      </c>
      <c r="AE11" s="18">
        <v>20</v>
      </c>
      <c r="AF11" s="18">
        <f t="shared" si="10"/>
        <v>64800</v>
      </c>
      <c r="AG11" s="53"/>
      <c r="AH11" s="53"/>
      <c r="AI11" s="53"/>
      <c r="AJ11" s="53"/>
      <c r="AK11" s="53"/>
      <c r="AQ11" s="1"/>
      <c r="AR11" s="15"/>
      <c r="AS11" s="18"/>
      <c r="AT11" s="18"/>
    </row>
    <row r="12" spans="1:46" x14ac:dyDescent="0.5">
      <c r="A12" s="3"/>
      <c r="B12" s="3"/>
      <c r="C12" s="3"/>
      <c r="E12" s="1" t="s">
        <v>25</v>
      </c>
      <c r="F12" s="10"/>
      <c r="G12" s="10"/>
      <c r="H12" s="10">
        <v>395000</v>
      </c>
      <c r="J12" s="11" t="s">
        <v>23</v>
      </c>
      <c r="K12" s="23"/>
      <c r="L12" s="24"/>
      <c r="M12" s="24">
        <f>+M13+M14</f>
        <v>677000</v>
      </c>
      <c r="N12" s="23"/>
      <c r="O12" s="24"/>
      <c r="P12" s="24">
        <f>+P13+P14</f>
        <v>677000</v>
      </c>
      <c r="R12" s="25" t="s">
        <v>22</v>
      </c>
      <c r="S12" s="23">
        <v>5280</v>
      </c>
      <c r="T12" s="54">
        <f>+U12/S12</f>
        <v>192.57575757575756</v>
      </c>
      <c r="U12" s="24">
        <f>+U3-U6</f>
        <v>1016800</v>
      </c>
      <c r="V12" s="23">
        <v>5280</v>
      </c>
      <c r="W12" s="54">
        <f>+X12/V12</f>
        <v>158.25757575757575</v>
      </c>
      <c r="X12" s="24">
        <f>+X3-X6</f>
        <v>835600</v>
      </c>
      <c r="Z12" s="25" t="s">
        <v>22</v>
      </c>
      <c r="AA12" s="23">
        <v>5940</v>
      </c>
      <c r="AB12" s="54">
        <f>+AC12/AA12</f>
        <v>170.06734006734007</v>
      </c>
      <c r="AC12" s="24">
        <f>+AC3-AC6</f>
        <v>1010200</v>
      </c>
      <c r="AD12" s="23">
        <v>5940</v>
      </c>
      <c r="AE12" s="54">
        <f>+AF12/AD12</f>
        <v>161.31313131313132</v>
      </c>
      <c r="AF12" s="24">
        <f>+AF3-AF6</f>
        <v>958200</v>
      </c>
      <c r="AG12" s="52"/>
      <c r="AH12" s="52"/>
      <c r="AI12" s="52"/>
      <c r="AJ12" s="52"/>
      <c r="AK12" s="52"/>
      <c r="AQ12" s="11"/>
      <c r="AR12" s="23"/>
      <c r="AS12" s="24"/>
      <c r="AT12" s="24"/>
    </row>
    <row r="13" spans="1:46" x14ac:dyDescent="0.5">
      <c r="A13" s="3"/>
      <c r="B13" s="3"/>
      <c r="C13" s="3"/>
      <c r="E13" s="11" t="s">
        <v>26</v>
      </c>
      <c r="F13" s="12"/>
      <c r="G13" s="12"/>
      <c r="H13" s="12">
        <f>H9-H10</f>
        <v>192500</v>
      </c>
      <c r="J13" s="1" t="s">
        <v>24</v>
      </c>
      <c r="K13" s="21"/>
      <c r="L13" s="16"/>
      <c r="M13" s="18">
        <v>282000</v>
      </c>
      <c r="N13" s="22"/>
      <c r="O13" s="16"/>
      <c r="P13" s="18">
        <v>282000</v>
      </c>
      <c r="R13" s="25" t="s">
        <v>23</v>
      </c>
      <c r="S13" s="26"/>
      <c r="T13" s="24"/>
      <c r="U13" s="24">
        <f>+U14+U15</f>
        <v>677000</v>
      </c>
      <c r="V13" s="27"/>
      <c r="W13" s="24"/>
      <c r="X13" s="24">
        <f>+X14+X15</f>
        <v>677000</v>
      </c>
      <c r="Y13" s="29"/>
      <c r="Z13" s="25" t="s">
        <v>23</v>
      </c>
      <c r="AA13" s="26"/>
      <c r="AB13" s="24"/>
      <c r="AC13" s="24">
        <f>+AC14+AC15</f>
        <v>677000</v>
      </c>
      <c r="AD13" s="26"/>
      <c r="AE13" s="24"/>
      <c r="AF13" s="24">
        <f>+AF14+AF15</f>
        <v>677000</v>
      </c>
      <c r="AG13" s="52"/>
      <c r="AH13" s="52"/>
      <c r="AI13" s="52"/>
      <c r="AJ13" s="52"/>
      <c r="AK13" s="52"/>
      <c r="AQ13" s="11"/>
      <c r="AR13" s="23"/>
      <c r="AS13" s="24"/>
      <c r="AT13" s="24"/>
    </row>
    <row r="14" spans="1:46" x14ac:dyDescent="0.5">
      <c r="A14" s="3"/>
      <c r="B14" s="3"/>
      <c r="C14" s="3"/>
      <c r="J14" s="1" t="s">
        <v>25</v>
      </c>
      <c r="K14" s="19"/>
      <c r="L14" s="18"/>
      <c r="M14" s="18">
        <v>395000</v>
      </c>
      <c r="N14" s="20"/>
      <c r="O14" s="18"/>
      <c r="P14" s="18">
        <v>395000</v>
      </c>
      <c r="R14" s="1" t="s">
        <v>24</v>
      </c>
      <c r="S14" s="21"/>
      <c r="T14" s="16"/>
      <c r="U14" s="18">
        <v>282000</v>
      </c>
      <c r="V14" s="22"/>
      <c r="W14" s="16"/>
      <c r="X14" s="18">
        <v>282000</v>
      </c>
      <c r="Y14" s="29"/>
      <c r="Z14" s="1" t="s">
        <v>24</v>
      </c>
      <c r="AA14" s="21"/>
      <c r="AB14" s="16"/>
      <c r="AC14" s="18">
        <v>282000</v>
      </c>
      <c r="AD14" s="21"/>
      <c r="AE14" s="16"/>
      <c r="AF14" s="18">
        <v>282000</v>
      </c>
      <c r="AG14" s="53"/>
      <c r="AH14" s="53"/>
      <c r="AI14" s="53"/>
      <c r="AJ14" s="53"/>
      <c r="AK14" s="53"/>
      <c r="AQ14" s="1"/>
      <c r="AR14" s="21"/>
      <c r="AS14" s="16"/>
      <c r="AT14" s="18"/>
    </row>
    <row r="15" spans="1:46" x14ac:dyDescent="0.5">
      <c r="A15" s="3"/>
      <c r="B15" s="3"/>
      <c r="C15" s="3"/>
      <c r="J15" s="11" t="s">
        <v>26</v>
      </c>
      <c r="K15" s="23"/>
      <c r="L15" s="24"/>
      <c r="M15" s="54">
        <f>+M11-M12</f>
        <v>207650</v>
      </c>
      <c r="N15" s="23"/>
      <c r="O15" s="24"/>
      <c r="P15" s="54">
        <f>+P11-P12</f>
        <v>-211150</v>
      </c>
      <c r="R15" s="1" t="s">
        <v>25</v>
      </c>
      <c r="S15" s="19"/>
      <c r="T15" s="18"/>
      <c r="U15" s="18">
        <v>395000</v>
      </c>
      <c r="V15" s="20"/>
      <c r="W15" s="18"/>
      <c r="X15" s="18">
        <v>395000</v>
      </c>
      <c r="Z15" s="1" t="s">
        <v>25</v>
      </c>
      <c r="AA15" s="19"/>
      <c r="AB15" s="18"/>
      <c r="AC15" s="18">
        <v>395000</v>
      </c>
      <c r="AD15" s="19"/>
      <c r="AE15" s="18"/>
      <c r="AF15" s="18">
        <v>395000</v>
      </c>
      <c r="AG15" s="53"/>
      <c r="AH15" s="53"/>
      <c r="AI15" s="53"/>
      <c r="AJ15" s="53"/>
      <c r="AK15" s="53"/>
      <c r="AQ15" s="1"/>
      <c r="AR15" s="19"/>
      <c r="AS15" s="18"/>
      <c r="AT15" s="18"/>
    </row>
    <row r="16" spans="1:46" x14ac:dyDescent="0.5">
      <c r="A16" s="41" t="s">
        <v>38</v>
      </c>
      <c r="B16" s="42" t="s">
        <v>37</v>
      </c>
      <c r="C16" s="42" t="s">
        <v>39</v>
      </c>
      <c r="D16" s="42" t="s">
        <v>40</v>
      </c>
      <c r="E16" s="43" t="s">
        <v>41</v>
      </c>
      <c r="R16" s="25" t="s">
        <v>26</v>
      </c>
      <c r="S16" s="26"/>
      <c r="T16" s="24"/>
      <c r="U16" s="54">
        <f>+U12-U13</f>
        <v>339800</v>
      </c>
      <c r="V16" s="27"/>
      <c r="W16" s="24"/>
      <c r="X16" s="54">
        <f>+X12-X13</f>
        <v>158600</v>
      </c>
      <c r="Z16" s="25" t="s">
        <v>26</v>
      </c>
      <c r="AA16" s="26"/>
      <c r="AB16" s="24"/>
      <c r="AC16" s="54">
        <f>+AC12-AC13</f>
        <v>333200</v>
      </c>
      <c r="AD16" s="26"/>
      <c r="AE16" s="24"/>
      <c r="AF16" s="54">
        <f>+AF12-AF13</f>
        <v>281200</v>
      </c>
      <c r="AG16" s="52"/>
      <c r="AH16" s="52"/>
      <c r="AI16" s="52"/>
      <c r="AJ16" s="52"/>
      <c r="AK16" s="52"/>
      <c r="AQ16" s="11"/>
      <c r="AR16" s="23"/>
      <c r="AS16" s="24"/>
      <c r="AT16" s="24"/>
    </row>
    <row r="17" spans="1:50" x14ac:dyDescent="0.5">
      <c r="A17" s="44">
        <v>3500</v>
      </c>
      <c r="B17" s="45">
        <v>375</v>
      </c>
      <c r="C17" s="45">
        <v>375</v>
      </c>
      <c r="D17" s="45">
        <v>192500</v>
      </c>
      <c r="E17" s="46">
        <v>0</v>
      </c>
      <c r="R17" s="2"/>
      <c r="S17" s="2"/>
      <c r="T17" s="2"/>
      <c r="U17" s="2"/>
      <c r="V17" s="2"/>
      <c r="W17" s="2"/>
      <c r="X17" s="2"/>
    </row>
    <row r="18" spans="1:50" x14ac:dyDescent="0.5">
      <c r="A18" s="44">
        <v>4106</v>
      </c>
      <c r="B18" s="45">
        <v>352.07744763760348</v>
      </c>
      <c r="C18" s="45">
        <v>341.87773989283977</v>
      </c>
      <c r="D18" s="45">
        <v>207650</v>
      </c>
      <c r="E18" s="46">
        <v>-211150</v>
      </c>
    </row>
    <row r="19" spans="1:50" x14ac:dyDescent="0.5">
      <c r="A19" s="44">
        <v>5280</v>
      </c>
      <c r="B19" s="45">
        <v>333.25757575757575</v>
      </c>
      <c r="C19" s="45">
        <v>329.77272727272725</v>
      </c>
      <c r="D19" s="45">
        <v>339800</v>
      </c>
      <c r="E19" s="46">
        <v>155800</v>
      </c>
      <c r="AV19" s="36" t="s">
        <v>47</v>
      </c>
      <c r="AW19" s="37" t="s">
        <v>48</v>
      </c>
      <c r="AX19" s="37" t="s">
        <v>49</v>
      </c>
    </row>
    <row r="20" spans="1:50" x14ac:dyDescent="0.5">
      <c r="A20" s="47">
        <v>5940</v>
      </c>
      <c r="B20" s="48">
        <v>339.56228956228955</v>
      </c>
      <c r="C20" s="48">
        <v>335.99326599326599</v>
      </c>
      <c r="D20" s="48">
        <v>333200</v>
      </c>
      <c r="E20" s="49">
        <v>297200</v>
      </c>
      <c r="AV20" s="30"/>
      <c r="AW20" s="31"/>
      <c r="AX20" s="32"/>
    </row>
    <row r="21" spans="1:50" x14ac:dyDescent="0.5">
      <c r="A21" s="47">
        <v>6000</v>
      </c>
      <c r="B21" s="57">
        <v>340.07</v>
      </c>
      <c r="C21" s="48"/>
      <c r="D21" s="57">
        <v>332600</v>
      </c>
      <c r="E21" s="49"/>
      <c r="O21" s="3"/>
      <c r="P21" s="3"/>
      <c r="X21" s="2"/>
      <c r="AA21" s="1" t="s">
        <v>44</v>
      </c>
      <c r="AB21" s="1"/>
      <c r="AC21" s="1" t="s">
        <v>44</v>
      </c>
      <c r="AD21" s="1" t="s">
        <v>43</v>
      </c>
      <c r="AE21" s="1" t="s">
        <v>42</v>
      </c>
      <c r="AF21" s="3"/>
      <c r="AG21" s="3"/>
      <c r="AH21" s="3"/>
      <c r="AI21" s="3"/>
      <c r="AJ21" s="3"/>
      <c r="AK21" s="3"/>
      <c r="AV21" s="33"/>
      <c r="AW21" s="34"/>
      <c r="AX21" s="35"/>
    </row>
    <row r="22" spans="1:50" x14ac:dyDescent="0.5">
      <c r="O22" s="3"/>
      <c r="P22" s="3"/>
      <c r="X22" s="2"/>
      <c r="AA22" s="18">
        <v>897600</v>
      </c>
      <c r="AB22" s="1" t="s">
        <v>32</v>
      </c>
      <c r="AC22" s="18">
        <v>897600</v>
      </c>
      <c r="AD22" s="1">
        <v>5280</v>
      </c>
      <c r="AE22" s="18">
        <f>AA22/AD22</f>
        <v>170</v>
      </c>
      <c r="AF22" s="3"/>
      <c r="AG22" s="3"/>
      <c r="AH22" s="3"/>
      <c r="AI22" s="3"/>
      <c r="AJ22" s="3"/>
      <c r="AK22" s="3"/>
      <c r="AW22" s="34"/>
      <c r="AX22" s="34"/>
    </row>
    <row r="23" spans="1:50" x14ac:dyDescent="0.5">
      <c r="O23" s="3"/>
      <c r="P23" s="3">
        <f>4106*200</f>
        <v>821200</v>
      </c>
      <c r="X23" s="2"/>
      <c r="AA23" s="18">
        <v>1056000</v>
      </c>
      <c r="AB23" s="1" t="s">
        <v>36</v>
      </c>
      <c r="AC23" s="18">
        <v>1056000</v>
      </c>
      <c r="AD23" s="1">
        <v>5940</v>
      </c>
      <c r="AE23" s="18">
        <f>AA23/AD23</f>
        <v>177.77777777777777</v>
      </c>
      <c r="AF23" s="3"/>
      <c r="AG23" s="3"/>
      <c r="AH23" s="3"/>
      <c r="AI23" s="3"/>
      <c r="AJ23" s="3"/>
      <c r="AK23" s="3"/>
      <c r="AV23" s="30"/>
      <c r="AW23" s="31"/>
      <c r="AX23" s="32"/>
    </row>
    <row r="24" spans="1:50" x14ac:dyDescent="0.5">
      <c r="O24" s="3"/>
      <c r="P24" s="3"/>
      <c r="X24" s="2"/>
      <c r="AA24" s="1"/>
      <c r="AB24" s="1" t="s">
        <v>45</v>
      </c>
      <c r="AC24" s="1"/>
      <c r="AD24" s="1"/>
      <c r="AE24" s="50">
        <f>AE23-AE22</f>
        <v>7.7777777777777715</v>
      </c>
      <c r="AF24" s="3"/>
      <c r="AG24" s="3"/>
      <c r="AH24" s="3"/>
      <c r="AI24" s="3"/>
      <c r="AJ24" s="3"/>
      <c r="AK24" s="3"/>
      <c r="AV24" s="38"/>
      <c r="AW24" s="39"/>
      <c r="AX24" s="40"/>
    </row>
    <row r="25" spans="1:50" x14ac:dyDescent="0.5">
      <c r="O25" s="3"/>
      <c r="P25" s="3"/>
      <c r="X25" s="2"/>
      <c r="Y25" s="2"/>
      <c r="AE25" s="3"/>
      <c r="AF25" s="3"/>
      <c r="AG25" s="3"/>
      <c r="AH25" s="3"/>
      <c r="AI25" s="3"/>
      <c r="AJ25" s="3"/>
      <c r="AK25" s="3"/>
      <c r="AW25" s="39"/>
    </row>
    <row r="27" spans="1:50" x14ac:dyDescent="0.5">
      <c r="G27" s="28"/>
      <c r="H27" s="28"/>
    </row>
  </sheetData>
  <mergeCells count="14">
    <mergeCell ref="A1:C1"/>
    <mergeCell ref="N1:P1"/>
    <mergeCell ref="K1:M1"/>
    <mergeCell ref="S1:U1"/>
    <mergeCell ref="F1:H1"/>
    <mergeCell ref="E1:E2"/>
    <mergeCell ref="J1:J2"/>
    <mergeCell ref="AQ1:AQ2"/>
    <mergeCell ref="AR1:AT1"/>
    <mergeCell ref="V1:X1"/>
    <mergeCell ref="R1:R2"/>
    <mergeCell ref="AA1:AC1"/>
    <mergeCell ref="AD1:AF1"/>
    <mergeCell ref="Z1:Z2"/>
  </mergeCells>
  <phoneticPr fontId="5" type="noConversion"/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6565A-8B5A-4728-A478-AA2EA84B9ABF}">
  <dimension ref="A1:F7"/>
  <sheetViews>
    <sheetView rightToLeft="1" zoomScale="170" zoomScaleNormal="170" workbookViewId="0">
      <selection activeCell="F5" sqref="F5"/>
    </sheetView>
  </sheetViews>
  <sheetFormatPr defaultRowHeight="15" x14ac:dyDescent="0.25"/>
  <cols>
    <col min="5" max="5" width="18.85546875" bestFit="1" customWidth="1"/>
    <col min="6" max="6" width="14.140625" bestFit="1" customWidth="1"/>
  </cols>
  <sheetData>
    <row r="1" spans="1:6" x14ac:dyDescent="0.25">
      <c r="A1" t="s">
        <v>50</v>
      </c>
      <c r="B1" t="s">
        <v>56</v>
      </c>
      <c r="C1" t="s">
        <v>57</v>
      </c>
      <c r="D1" t="s">
        <v>58</v>
      </c>
      <c r="E1" t="s">
        <v>59</v>
      </c>
      <c r="F1" t="s">
        <v>60</v>
      </c>
    </row>
    <row r="2" spans="1:6" x14ac:dyDescent="0.25">
      <c r="A2" t="s">
        <v>51</v>
      </c>
      <c r="B2" s="58">
        <v>100</v>
      </c>
      <c r="C2" s="58">
        <v>150</v>
      </c>
      <c r="D2" s="60">
        <f>(C2-B2)/B2</f>
        <v>0.5</v>
      </c>
      <c r="E2" s="60">
        <f>B2/$B$6</f>
        <v>0.51282051282051277</v>
      </c>
      <c r="F2" s="61">
        <f>E2*D2</f>
        <v>0.25641025641025639</v>
      </c>
    </row>
    <row r="3" spans="1:6" x14ac:dyDescent="0.25">
      <c r="A3" t="s">
        <v>52</v>
      </c>
      <c r="B3" s="58">
        <v>30</v>
      </c>
      <c r="C3" s="58">
        <v>60</v>
      </c>
      <c r="D3" s="60">
        <f t="shared" ref="D3:D6" si="0">(C3-B3)/B3</f>
        <v>1</v>
      </c>
      <c r="E3" s="60">
        <f t="shared" ref="E3:E6" si="1">B3/$B$6</f>
        <v>0.15384615384615385</v>
      </c>
      <c r="F3" s="61">
        <f t="shared" ref="F3:F5" si="2">E3*D3</f>
        <v>0.15384615384615385</v>
      </c>
    </row>
    <row r="4" spans="1:6" x14ac:dyDescent="0.25">
      <c r="A4" t="s">
        <v>53</v>
      </c>
      <c r="B4" s="58">
        <v>40</v>
      </c>
      <c r="C4" s="58">
        <v>50</v>
      </c>
      <c r="D4" s="60">
        <f t="shared" si="0"/>
        <v>0.25</v>
      </c>
      <c r="E4" s="60">
        <f t="shared" si="1"/>
        <v>0.20512820512820512</v>
      </c>
      <c r="F4" s="61">
        <f t="shared" si="2"/>
        <v>5.128205128205128E-2</v>
      </c>
    </row>
    <row r="5" spans="1:6" x14ac:dyDescent="0.25">
      <c r="A5" t="s">
        <v>54</v>
      </c>
      <c r="B5" s="58">
        <v>25</v>
      </c>
      <c r="C5" s="58">
        <v>60</v>
      </c>
      <c r="D5" s="60">
        <f t="shared" si="0"/>
        <v>1.4</v>
      </c>
      <c r="E5" s="60">
        <f t="shared" si="1"/>
        <v>0.12820512820512819</v>
      </c>
      <c r="F5" s="61">
        <f t="shared" si="2"/>
        <v>0.17948717948717946</v>
      </c>
    </row>
    <row r="6" spans="1:6" x14ac:dyDescent="0.25">
      <c r="A6" t="s">
        <v>55</v>
      </c>
      <c r="B6" s="58">
        <f>SUM(B2:B5)</f>
        <v>195</v>
      </c>
      <c r="C6" s="58">
        <f>SUM(C2:C5)</f>
        <v>320</v>
      </c>
      <c r="D6" s="63">
        <f t="shared" si="0"/>
        <v>0.64102564102564108</v>
      </c>
      <c r="E6" s="60">
        <f t="shared" si="1"/>
        <v>1</v>
      </c>
      <c r="F6" s="62">
        <f>SUM(F2:F5)</f>
        <v>0.64102564102564097</v>
      </c>
    </row>
    <row r="7" spans="1:6" x14ac:dyDescent="0.25">
      <c r="D7" s="5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حل الحالة 03</vt:lpstr>
      <vt:lpstr>نسبة النمو المعدلة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User-hst</dc:creator>
  <cp:lastModifiedBy>User-hst</cp:lastModifiedBy>
  <dcterms:created xsi:type="dcterms:W3CDTF">2023-02-19T18:16:40Z</dcterms:created>
  <dcterms:modified xsi:type="dcterms:W3CDTF">2023-03-05T22:24:12Z</dcterms:modified>
</cp:coreProperties>
</file>